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utes &amp; Backup\2021_Council Meetings\01_Jan\Received at meeting\"/>
    </mc:Choice>
  </mc:AlternateContent>
  <xr:revisionPtr revIDLastSave="0" documentId="8_{50D059BA-AC9E-40DA-B527-578F42CD136D}" xr6:coauthVersionLast="36" xr6:coauthVersionMax="36" xr10:uidLastSave="{00000000-0000-0000-0000-000000000000}"/>
  <bookViews>
    <workbookView xWindow="3720" yWindow="495" windowWidth="28800" windowHeight="12165" activeTab="2" xr2:uid="{F0EF500A-9943-754C-937A-C3D2C10B529D}"/>
  </bookViews>
  <sheets>
    <sheet name="Calcs for Framework" sheetId="1" r:id="rId1"/>
    <sheet name="Calcs for Amendment" sheetId="2" r:id="rId2"/>
    <sheet name="Alt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3" l="1"/>
  <c r="V10" i="3"/>
  <c r="V12" i="3"/>
  <c r="V14" i="3"/>
  <c r="V6" i="3"/>
  <c r="V16" i="3"/>
  <c r="S21" i="3"/>
  <c r="S16" i="3"/>
  <c r="Q16" i="3"/>
  <c r="K16" i="3"/>
  <c r="S14" i="3"/>
  <c r="S12" i="3"/>
  <c r="S10" i="3"/>
  <c r="S8" i="3"/>
  <c r="S6" i="3"/>
  <c r="P8" i="3"/>
  <c r="P10" i="3"/>
  <c r="P12" i="3"/>
  <c r="P14" i="3"/>
  <c r="P15" i="3"/>
  <c r="P16" i="3"/>
  <c r="P6" i="3"/>
  <c r="Q14" i="3" s="1"/>
  <c r="N16" i="3"/>
  <c r="M16" i="3"/>
  <c r="J16" i="3"/>
  <c r="G16" i="3"/>
  <c r="H16" i="3" s="1"/>
  <c r="E16" i="3"/>
  <c r="F16" i="3" s="1"/>
  <c r="O14" i="3"/>
  <c r="K14" i="3"/>
  <c r="F14" i="3"/>
  <c r="O12" i="3"/>
  <c r="K12" i="3"/>
  <c r="F12" i="3"/>
  <c r="O10" i="3"/>
  <c r="K10" i="3"/>
  <c r="F10" i="3"/>
  <c r="O8" i="3"/>
  <c r="K8" i="3"/>
  <c r="F8" i="3"/>
  <c r="O6" i="3"/>
  <c r="K6" i="3"/>
  <c r="F6" i="3"/>
  <c r="U16" i="1"/>
  <c r="U14" i="1"/>
  <c r="U12" i="1"/>
  <c r="U10" i="1"/>
  <c r="U8" i="1"/>
  <c r="U6" i="1"/>
  <c r="S10" i="1"/>
  <c r="O6" i="1"/>
  <c r="O14" i="1"/>
  <c r="O12" i="1"/>
  <c r="O10" i="1"/>
  <c r="O8" i="1"/>
  <c r="M16" i="1"/>
  <c r="S8" i="1"/>
  <c r="T8" i="1" s="1"/>
  <c r="S12" i="1"/>
  <c r="T12" i="1" s="1"/>
  <c r="S14" i="1"/>
  <c r="T14" i="1" s="1"/>
  <c r="S16" i="1"/>
  <c r="T16" i="1" s="1"/>
  <c r="S6" i="1"/>
  <c r="V16" i="2"/>
  <c r="W8" i="3" l="1"/>
  <c r="W12" i="3"/>
  <c r="W10" i="3"/>
  <c r="W14" i="3"/>
  <c r="W6" i="3"/>
  <c r="H6" i="3"/>
  <c r="H8" i="3"/>
  <c r="H10" i="3"/>
  <c r="H12" i="3"/>
  <c r="H14" i="3"/>
  <c r="T6" i="3"/>
  <c r="Q6" i="3"/>
  <c r="Q8" i="3"/>
  <c r="Q10" i="3"/>
  <c r="Q12" i="3"/>
  <c r="T6" i="1"/>
  <c r="T10" i="1"/>
  <c r="AH16" i="2"/>
  <c r="AI14" i="2" s="1"/>
  <c r="U16" i="2"/>
  <c r="N16" i="2"/>
  <c r="O14" i="2" s="1"/>
  <c r="G16" i="2"/>
  <c r="E16" i="2"/>
  <c r="F14" i="2" s="1"/>
  <c r="P16" i="1"/>
  <c r="Q6" i="1" s="1"/>
  <c r="N16" i="1"/>
  <c r="J16" i="1"/>
  <c r="K8" i="1" s="1"/>
  <c r="F16" i="1"/>
  <c r="F14" i="1"/>
  <c r="F8" i="1"/>
  <c r="F6" i="1"/>
  <c r="G16" i="1"/>
  <c r="H16" i="1" s="1"/>
  <c r="E16" i="1"/>
  <c r="F12" i="1" s="1"/>
  <c r="W16" i="3" l="1"/>
  <c r="T12" i="3"/>
  <c r="T10" i="3"/>
  <c r="T8" i="3"/>
  <c r="T16" i="3" s="1"/>
  <c r="T14" i="3"/>
  <c r="Q10" i="1"/>
  <c r="Q12" i="1"/>
  <c r="Q14" i="1"/>
  <c r="Q8" i="1"/>
  <c r="Q16" i="1" s="1"/>
  <c r="AI8" i="2"/>
  <c r="H14" i="2"/>
  <c r="H6" i="2"/>
  <c r="Q14" i="2"/>
  <c r="S14" i="2"/>
  <c r="AE14" i="2" s="1"/>
  <c r="R14" i="2"/>
  <c r="J14" i="2"/>
  <c r="K14" i="2"/>
  <c r="L14" i="2"/>
  <c r="O8" i="2"/>
  <c r="O10" i="2"/>
  <c r="K10" i="1"/>
  <c r="F16" i="2"/>
  <c r="H6" i="1"/>
  <c r="K12" i="1"/>
  <c r="F10" i="2"/>
  <c r="F12" i="2"/>
  <c r="H8" i="1"/>
  <c r="O12" i="2"/>
  <c r="H14" i="1"/>
  <c r="K14" i="1"/>
  <c r="H10" i="1"/>
  <c r="K16" i="1"/>
  <c r="H12" i="1"/>
  <c r="F6" i="2"/>
  <c r="F10" i="1"/>
  <c r="O6" i="2"/>
  <c r="AI12" i="2"/>
  <c r="F8" i="2"/>
  <c r="H16" i="2"/>
  <c r="H12" i="2"/>
  <c r="O16" i="2"/>
  <c r="H10" i="2"/>
  <c r="H8" i="2"/>
  <c r="AI6" i="2"/>
  <c r="AI10" i="2"/>
  <c r="K6" i="1"/>
  <c r="AB14" i="2" l="1"/>
  <c r="J10" i="2"/>
  <c r="L10" i="2"/>
  <c r="K10" i="2"/>
  <c r="J12" i="2"/>
  <c r="L12" i="2"/>
  <c r="K12" i="2"/>
  <c r="Y14" i="2"/>
  <c r="J8" i="2"/>
  <c r="L8" i="2"/>
  <c r="K8" i="2"/>
  <c r="Q6" i="2"/>
  <c r="R6" i="2"/>
  <c r="S6" i="2"/>
  <c r="AE6" i="2" s="1"/>
  <c r="Q12" i="2"/>
  <c r="S12" i="2"/>
  <c r="AE12" i="2" s="1"/>
  <c r="R12" i="2"/>
  <c r="Q10" i="2"/>
  <c r="R10" i="2"/>
  <c r="S10" i="2"/>
  <c r="AE10" i="2" s="1"/>
  <c r="J6" i="2"/>
  <c r="K6" i="2"/>
  <c r="L6" i="2"/>
  <c r="Q16" i="2"/>
  <c r="Y16" i="2" s="1"/>
  <c r="R16" i="2"/>
  <c r="S16" i="2"/>
  <c r="AE16" i="2" s="1"/>
  <c r="J16" i="2"/>
  <c r="K16" i="2"/>
  <c r="L16" i="2"/>
  <c r="Q8" i="2"/>
  <c r="R8" i="2"/>
  <c r="S8" i="2"/>
  <c r="AE8" i="2" s="1"/>
  <c r="AI16" i="2"/>
  <c r="Y6" i="2" l="1"/>
  <c r="AB6" i="2"/>
  <c r="Y12" i="2"/>
  <c r="Y8" i="2"/>
  <c r="AB12" i="2"/>
  <c r="AB16" i="2"/>
  <c r="AB10" i="2"/>
  <c r="AB8" i="2"/>
  <c r="Y10" i="2"/>
</calcChain>
</file>

<file path=xl/sharedStrings.xml><?xml version="1.0" encoding="utf-8"?>
<sst xmlns="http://schemas.openxmlformats.org/spreadsheetml/2006/main" count="86" uniqueCount="41">
  <si>
    <t>Florida</t>
  </si>
  <si>
    <t>Alabama</t>
  </si>
  <si>
    <t>Mississippi</t>
  </si>
  <si>
    <t>Louisiana</t>
  </si>
  <si>
    <t>Texas</t>
  </si>
  <si>
    <t xml:space="preserve">Total </t>
  </si>
  <si>
    <t>Impacts from Fishing Trips</t>
  </si>
  <si>
    <t>Sales</t>
  </si>
  <si>
    <t>Jobs</t>
  </si>
  <si>
    <t>%</t>
  </si>
  <si>
    <t>Number of Red Snapper</t>
  </si>
  <si>
    <t>Current percent of Rec Quota</t>
  </si>
  <si>
    <t>lbs with Calibrations</t>
  </si>
  <si>
    <t>Weighted - 50* Impact and 50% Fish</t>
  </si>
  <si>
    <t>50% Sales</t>
  </si>
  <si>
    <t>50% Red Snapper</t>
  </si>
  <si>
    <t>50 sales + 50 Red Snapper</t>
  </si>
  <si>
    <t>75% Sales</t>
  </si>
  <si>
    <t>25% Sales</t>
  </si>
  <si>
    <t>75% Red Snapper</t>
  </si>
  <si>
    <t>25% Red Snapper</t>
  </si>
  <si>
    <t>25% sales + 75% Red Snapper</t>
  </si>
  <si>
    <t>75% sales + 25% Red Snapper</t>
  </si>
  <si>
    <t>lbs with calibrations</t>
  </si>
  <si>
    <t>lbs</t>
  </si>
  <si>
    <t xml:space="preserve">Alternative 1 </t>
  </si>
  <si>
    <t>Alternative 2</t>
  </si>
  <si>
    <t>lbs with Calibration Ratios</t>
  </si>
  <si>
    <t>Alternative 2 - Assume double quota</t>
  </si>
  <si>
    <t>CHTS currency</t>
  </si>
  <si>
    <t>*CHTS currency</t>
  </si>
  <si>
    <t>*assumes CHTS and State currencies are equal</t>
  </si>
  <si>
    <t xml:space="preserve">State Currency _ Composite </t>
  </si>
  <si>
    <t>source of economic data:</t>
  </si>
  <si>
    <t>https://www.fisheries.noaa.gov/feature-story/saltwater-recreational-fisheries-regional-snapshots</t>
  </si>
  <si>
    <t>Alternative 3</t>
  </si>
  <si>
    <t xml:space="preserve">Alternative 3 - Assume quota adjustment applied to base adjustment (Alt 3 current form) using caibration ratios </t>
  </si>
  <si>
    <t>assumes a doubling of quota availabel to private rec sector</t>
  </si>
  <si>
    <t>Current Form _ 23% reduction prior</t>
  </si>
  <si>
    <t>to applying ratios across the board</t>
  </si>
  <si>
    <t>assumes 25% quoata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</si>
</sst>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2" borderId="0" xfId="0" applyFill="1"/>
    <xf numFmtId="164" fontId="0" fillId="0" borderId="0" xfId="1" applyNumberFormat="1" applyFont="1"/>
    <xf numFmtId="3" fontId="0" fillId="0" borderId="0" xfId="1" applyNumberFormat="1" applyFont="1"/>
    <xf numFmtId="3" fontId="0" fillId="2" borderId="0" xfId="0" applyNumberFormat="1" applyFill="1"/>
    <xf numFmtId="0" fontId="3" fillId="0" borderId="0" xfId="2"/>
    <xf numFmtId="3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nam04.safelinks.protection.outlook.com/?url=https%3A%2F%2Fwww.fisheries.noaa.gov%2Ffeature-story%2Fsaltwater-recreational-fisheries-regional-snapshots&amp;data=04%7C01%7Ctfrazer%40usf.edu%7C1ce982b19125476864ef08d8a689cf81%7C741bf7dee2e546df8d6782607df9deaa%7C0%7C0%7C637442458116820489%7CUnknown%7CTWFpbGZsb3d8eyJWIjoiMC4wLjAwMDAiLCJQIjoiV2luMzIiLCJBTiI6Ik1haWwiLCJXVCI6Mn0%3D%7C3000&amp;sdata=%2FxskjRIVDW%2BhsM1jhsArGKWGCnKToL4hdgk8GjAulR8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6C11-0F64-2143-BA9D-2732AFBC4532}">
  <sheetPr>
    <pageSetUpPr fitToPage="1"/>
  </sheetPr>
  <dimension ref="C1:U20"/>
  <sheetViews>
    <sheetView topLeftCell="B1" workbookViewId="0">
      <selection activeCell="N22" sqref="N22"/>
    </sheetView>
  </sheetViews>
  <sheetFormatPr defaultColWidth="11" defaultRowHeight="15.75"/>
  <cols>
    <col min="5" max="5" width="12.625" bestFit="1" customWidth="1"/>
    <col min="11" max="11" width="12.125" bestFit="1" customWidth="1"/>
    <col min="15" max="15" width="13" bestFit="1" customWidth="1"/>
    <col min="19" max="19" width="14" bestFit="1" customWidth="1"/>
    <col min="21" max="21" width="10.875" customWidth="1"/>
  </cols>
  <sheetData>
    <row r="1" spans="3:21">
      <c r="M1" t="s">
        <v>25</v>
      </c>
      <c r="P1" t="s">
        <v>26</v>
      </c>
      <c r="S1" t="s">
        <v>28</v>
      </c>
    </row>
    <row r="2" spans="3:21">
      <c r="E2" t="s">
        <v>6</v>
      </c>
      <c r="J2" t="s">
        <v>10</v>
      </c>
      <c r="M2" t="s">
        <v>11</v>
      </c>
      <c r="P2" t="s">
        <v>27</v>
      </c>
    </row>
    <row r="4" spans="3:21">
      <c r="E4" t="s">
        <v>7</v>
      </c>
      <c r="G4" t="s">
        <v>8</v>
      </c>
    </row>
    <row r="5" spans="3:21">
      <c r="F5" t="s">
        <v>9</v>
      </c>
      <c r="K5" t="s">
        <v>9</v>
      </c>
      <c r="M5" t="s">
        <v>24</v>
      </c>
      <c r="N5" t="s">
        <v>9</v>
      </c>
      <c r="P5" t="s">
        <v>24</v>
      </c>
      <c r="Q5" t="s">
        <v>9</v>
      </c>
    </row>
    <row r="6" spans="3:21">
      <c r="C6" t="s">
        <v>0</v>
      </c>
      <c r="E6" s="1">
        <v>2640000000</v>
      </c>
      <c r="F6">
        <f>E6/E16</f>
        <v>0.56386159760785992</v>
      </c>
      <c r="G6" s="1">
        <v>25480</v>
      </c>
      <c r="H6">
        <f>G6/G16</f>
        <v>0.55984004570122825</v>
      </c>
      <c r="J6" s="1">
        <v>48000000</v>
      </c>
      <c r="K6">
        <f>J6/J16</f>
        <v>0.43636363636363634</v>
      </c>
      <c r="M6" s="3">
        <v>1913451</v>
      </c>
      <c r="N6" s="2">
        <v>0.44822000000000001</v>
      </c>
      <c r="O6" s="5">
        <f>M6*1.0606</f>
        <v>2029406.1306</v>
      </c>
      <c r="P6" s="3">
        <v>2028641</v>
      </c>
      <c r="Q6">
        <f>P6/P16</f>
        <v>0.53889496621813671</v>
      </c>
      <c r="S6" s="5">
        <f>P6*2</f>
        <v>4057282</v>
      </c>
      <c r="T6">
        <f>S6/S16</f>
        <v>0.53889496621813671</v>
      </c>
      <c r="U6" s="6">
        <f>S6/1.0606</f>
        <v>3825459.1740524233</v>
      </c>
    </row>
    <row r="7" spans="3:21">
      <c r="O7" s="5"/>
      <c r="S7" s="5"/>
      <c r="U7" s="1"/>
    </row>
    <row r="8" spans="3:21">
      <c r="C8" t="s">
        <v>1</v>
      </c>
      <c r="E8" s="1">
        <v>911000000</v>
      </c>
      <c r="F8">
        <f>E8/E16</f>
        <v>0.19457496796240922</v>
      </c>
      <c r="G8" s="1">
        <v>9676</v>
      </c>
      <c r="H8">
        <f>G8/G16</f>
        <v>0.21259859820271132</v>
      </c>
      <c r="J8" s="1">
        <v>8000000</v>
      </c>
      <c r="K8">
        <f>J8/J16</f>
        <v>7.2727272727272724E-2</v>
      </c>
      <c r="M8" s="3">
        <v>1122662</v>
      </c>
      <c r="N8" s="2">
        <v>0.26297999999999999</v>
      </c>
      <c r="O8" s="5">
        <f>M8*0.4875</f>
        <v>547297.72499999998</v>
      </c>
      <c r="P8" s="3">
        <v>547298</v>
      </c>
      <c r="Q8">
        <f>P8/P16</f>
        <v>0.14538606743196741</v>
      </c>
      <c r="S8" s="5">
        <f t="shared" ref="S8:S16" si="0">P8*2</f>
        <v>1094596</v>
      </c>
      <c r="T8">
        <f>S8/S16</f>
        <v>0.14538606743196741</v>
      </c>
      <c r="U8" s="1">
        <f>S8/0.4875</f>
        <v>2245325.1282051285</v>
      </c>
    </row>
    <row r="9" spans="3:21">
      <c r="O9" s="5"/>
      <c r="S9" s="5"/>
      <c r="U9" s="1"/>
    </row>
    <row r="10" spans="3:21">
      <c r="C10" t="s">
        <v>2</v>
      </c>
      <c r="E10" s="1">
        <v>132000000</v>
      </c>
      <c r="F10">
        <f>E10/E16</f>
        <v>2.8193079880392994E-2</v>
      </c>
      <c r="G10" s="1">
        <v>1582</v>
      </c>
      <c r="H10">
        <f>G10/G16</f>
        <v>3.4759299540790545E-2</v>
      </c>
      <c r="J10" s="1">
        <v>2000000</v>
      </c>
      <c r="K10">
        <f>J10/J16</f>
        <v>1.8181818181818181E-2</v>
      </c>
      <c r="M10" s="3">
        <v>151550</v>
      </c>
      <c r="N10" s="2">
        <v>3.5499999999999997E-2</v>
      </c>
      <c r="O10" s="5">
        <f>M10*0.384</f>
        <v>58195.200000000004</v>
      </c>
      <c r="P10" s="3">
        <v>58195</v>
      </c>
      <c r="Q10">
        <f>P10/P16</f>
        <v>1.5459114036965864E-2</v>
      </c>
      <c r="S10" s="5">
        <f>P10*2</f>
        <v>116390</v>
      </c>
      <c r="T10">
        <f>S10/S16</f>
        <v>1.5459114036965864E-2</v>
      </c>
      <c r="U10" s="1">
        <f>S10/0.384</f>
        <v>303098.95833333331</v>
      </c>
    </row>
    <row r="11" spans="3:21">
      <c r="O11" s="5"/>
      <c r="S11" s="5"/>
      <c r="U11" s="1"/>
    </row>
    <row r="12" spans="3:21">
      <c r="C12" t="s">
        <v>3</v>
      </c>
      <c r="E12" s="1">
        <v>622000000</v>
      </c>
      <c r="F12">
        <f>E12/E16</f>
        <v>0.1328492097394276</v>
      </c>
      <c r="G12" s="1">
        <v>5802</v>
      </c>
      <c r="H12">
        <f>G12/G16</f>
        <v>0.12748006064201436</v>
      </c>
      <c r="J12" s="1">
        <v>29000000</v>
      </c>
      <c r="K12">
        <f>J12/J16</f>
        <v>0.26363636363636361</v>
      </c>
      <c r="M12" s="3">
        <v>816233</v>
      </c>
      <c r="N12" s="2">
        <v>0.19120000000000001</v>
      </c>
      <c r="O12" s="5">
        <f>M12*1.06</f>
        <v>865206.9800000001</v>
      </c>
      <c r="P12" s="3">
        <v>865207</v>
      </c>
      <c r="Q12">
        <f>P12/P16</f>
        <v>0.22983647527418377</v>
      </c>
      <c r="S12" s="5">
        <f t="shared" si="0"/>
        <v>1730414</v>
      </c>
      <c r="T12">
        <f>S12/S16</f>
        <v>0.22983647527418377</v>
      </c>
      <c r="U12" s="1">
        <f>S12/1.06</f>
        <v>1632466.0377358489</v>
      </c>
    </row>
    <row r="13" spans="3:21">
      <c r="O13" s="5"/>
      <c r="S13" s="5"/>
      <c r="U13" s="1"/>
    </row>
    <row r="14" spans="3:21">
      <c r="C14" t="s">
        <v>4</v>
      </c>
      <c r="E14" s="1">
        <v>377000000</v>
      </c>
      <c r="F14">
        <f>E14/E16</f>
        <v>8.0521144809910294E-2</v>
      </c>
      <c r="G14" s="1">
        <v>2973</v>
      </c>
      <c r="H14">
        <f>G14/G16</f>
        <v>6.5321995913255548E-2</v>
      </c>
      <c r="J14" s="1">
        <v>23000000</v>
      </c>
      <c r="K14">
        <f>J14/J16</f>
        <v>0.20909090909090908</v>
      </c>
      <c r="M14" s="3">
        <v>265105</v>
      </c>
      <c r="N14" s="2">
        <v>6.2100000000000002E-2</v>
      </c>
      <c r="O14" s="5">
        <f>M14*1</f>
        <v>265105</v>
      </c>
      <c r="P14" s="3">
        <v>265105</v>
      </c>
      <c r="Q14">
        <f>P14/P16</f>
        <v>7.042337703874621E-2</v>
      </c>
      <c r="S14" s="5">
        <f t="shared" si="0"/>
        <v>530210</v>
      </c>
      <c r="T14">
        <f>S14/S16</f>
        <v>7.042337703874621E-2</v>
      </c>
      <c r="U14" s="1">
        <f>S14/1</f>
        <v>530210</v>
      </c>
    </row>
    <row r="15" spans="3:21">
      <c r="S15" s="5"/>
      <c r="U15" s="1"/>
    </row>
    <row r="16" spans="3:21">
      <c r="C16" t="s">
        <v>5</v>
      </c>
      <c r="E16" s="1">
        <f>SUM(E6:E14)</f>
        <v>4682000000</v>
      </c>
      <c r="F16" s="1">
        <f>E16/E16</f>
        <v>1</v>
      </c>
      <c r="G16" s="1">
        <f>SUM(G6:G14)</f>
        <v>45513</v>
      </c>
      <c r="H16" s="1">
        <f>G16/G16</f>
        <v>1</v>
      </c>
      <c r="J16" s="1">
        <f>SUM(J6:J14)</f>
        <v>110000000</v>
      </c>
      <c r="K16">
        <f>J16/J16</f>
        <v>1</v>
      </c>
      <c r="M16" s="7">
        <f>SUM(M6:M14)</f>
        <v>4269001</v>
      </c>
      <c r="N16">
        <f>SUM(N6:N14)</f>
        <v>1</v>
      </c>
      <c r="P16" s="1">
        <f>SUM(P6:P14)</f>
        <v>3764446</v>
      </c>
      <c r="Q16" s="1">
        <f>SUM(Q6:Q14)</f>
        <v>1</v>
      </c>
      <c r="S16" s="5">
        <f t="shared" si="0"/>
        <v>7528892</v>
      </c>
      <c r="T16">
        <f>S16/S16</f>
        <v>1</v>
      </c>
      <c r="U16" s="7">
        <f>SUM(U6:U14)</f>
        <v>8536559.2983267345</v>
      </c>
    </row>
    <row r="18" spans="13:21">
      <c r="M18" t="s">
        <v>30</v>
      </c>
      <c r="P18" t="s">
        <v>32</v>
      </c>
      <c r="S18" t="s">
        <v>32</v>
      </c>
      <c r="U18" t="s">
        <v>29</v>
      </c>
    </row>
    <row r="20" spans="13:21">
      <c r="M20" t="s">
        <v>31</v>
      </c>
    </row>
  </sheetData>
  <pageMargins left="0.7" right="0.7" top="0.75" bottom="0.75" header="0.3" footer="0.3"/>
  <pageSetup scale="46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8F33-DA70-EA4D-BA3D-682601A5E40D}">
  <sheetPr>
    <pageSetUpPr fitToPage="1"/>
  </sheetPr>
  <dimension ref="C2:AK22"/>
  <sheetViews>
    <sheetView topLeftCell="M1" workbookViewId="0">
      <selection activeCell="N6" sqref="N6"/>
    </sheetView>
  </sheetViews>
  <sheetFormatPr defaultColWidth="11" defaultRowHeight="15.75"/>
  <cols>
    <col min="5" max="5" width="12.625" bestFit="1" customWidth="1"/>
    <col min="15" max="15" width="12.125" bestFit="1" customWidth="1"/>
    <col min="16" max="20" width="12.125" customWidth="1"/>
    <col min="25" max="25" width="12.125" customWidth="1"/>
  </cols>
  <sheetData>
    <row r="2" spans="3:37">
      <c r="E2" t="s">
        <v>6</v>
      </c>
      <c r="N2" t="s">
        <v>10</v>
      </c>
      <c r="U2" t="s">
        <v>11</v>
      </c>
      <c r="AH2" t="s">
        <v>12</v>
      </c>
      <c r="AK2" t="s">
        <v>13</v>
      </c>
    </row>
    <row r="3" spans="3:37">
      <c r="V3" t="s">
        <v>23</v>
      </c>
    </row>
    <row r="4" spans="3:37">
      <c r="E4" t="s">
        <v>7</v>
      </c>
      <c r="G4" t="s">
        <v>8</v>
      </c>
      <c r="J4" t="s">
        <v>14</v>
      </c>
      <c r="K4" t="s">
        <v>17</v>
      </c>
      <c r="L4" t="s">
        <v>18</v>
      </c>
      <c r="Q4" t="s">
        <v>15</v>
      </c>
      <c r="R4" t="s">
        <v>19</v>
      </c>
      <c r="S4" t="s">
        <v>20</v>
      </c>
      <c r="Y4" s="4" t="s">
        <v>16</v>
      </c>
      <c r="AB4" s="4" t="s">
        <v>21</v>
      </c>
      <c r="AE4" s="4" t="s">
        <v>22</v>
      </c>
    </row>
    <row r="5" spans="3:37">
      <c r="F5" t="s">
        <v>9</v>
      </c>
      <c r="O5" t="s">
        <v>9</v>
      </c>
      <c r="Y5" s="4"/>
      <c r="AB5" s="4"/>
      <c r="AE5" s="4"/>
      <c r="AI5" t="s">
        <v>9</v>
      </c>
    </row>
    <row r="6" spans="3:37">
      <c r="C6" t="s">
        <v>0</v>
      </c>
      <c r="E6" s="1">
        <v>2640000000</v>
      </c>
      <c r="F6">
        <f>E6/E16</f>
        <v>0.56386159760785992</v>
      </c>
      <c r="G6" s="1">
        <v>25480</v>
      </c>
      <c r="H6">
        <f>G6/G16</f>
        <v>0.55984004570122825</v>
      </c>
      <c r="J6">
        <f>F6/2</f>
        <v>0.28193079880392996</v>
      </c>
      <c r="K6">
        <f>F6*0.75</f>
        <v>0.42289619820589497</v>
      </c>
      <c r="L6">
        <f>F6*0.25</f>
        <v>0.14096539940196498</v>
      </c>
      <c r="N6" s="1">
        <v>44000000</v>
      </c>
      <c r="O6">
        <f>N6/N16</f>
        <v>0.41509433962264153</v>
      </c>
      <c r="Q6">
        <f>O6/2</f>
        <v>0.20754716981132076</v>
      </c>
      <c r="R6">
        <f>O6*0.75</f>
        <v>0.31132075471698117</v>
      </c>
      <c r="S6">
        <f>O6*0.25</f>
        <v>0.10377358490566038</v>
      </c>
      <c r="U6" s="2">
        <v>44.822000000000003</v>
      </c>
      <c r="V6" s="3">
        <v>2028641</v>
      </c>
      <c r="W6" s="2"/>
      <c r="X6" s="2"/>
      <c r="Y6" s="4">
        <f>J6+Q6</f>
        <v>0.48947796861525072</v>
      </c>
      <c r="AB6" s="4">
        <f>L6+R6</f>
        <v>0.45228615411894613</v>
      </c>
      <c r="AE6" s="4">
        <f>K6+S6</f>
        <v>0.52666978311155532</v>
      </c>
      <c r="AH6" s="3">
        <v>2028641</v>
      </c>
      <c r="AI6">
        <f>AH6/AH16</f>
        <v>0.46479979141024452</v>
      </c>
    </row>
    <row r="7" spans="3:37">
      <c r="Y7" s="4"/>
      <c r="AB7" s="4"/>
      <c r="AE7" s="4"/>
    </row>
    <row r="8" spans="3:37">
      <c r="C8" t="s">
        <v>1</v>
      </c>
      <c r="E8" s="1">
        <v>911000000</v>
      </c>
      <c r="F8">
        <f>E8/E16</f>
        <v>0.19457496796240922</v>
      </c>
      <c r="G8" s="1">
        <v>9676</v>
      </c>
      <c r="H8">
        <f>G8/G16</f>
        <v>0.21259859820271132</v>
      </c>
      <c r="J8">
        <f t="shared" ref="J8:J16" si="0">F8/2</f>
        <v>9.7287483981204612E-2</v>
      </c>
      <c r="K8">
        <f>F8*0.75</f>
        <v>0.14593122597180691</v>
      </c>
      <c r="L8">
        <f t="shared" ref="L8:L16" si="1">F8*0.25</f>
        <v>4.8643741990602306E-2</v>
      </c>
      <c r="N8" s="1">
        <v>8000000</v>
      </c>
      <c r="O8">
        <f>N8/N16</f>
        <v>7.5471698113207544E-2</v>
      </c>
      <c r="Q8">
        <f t="shared" ref="Q8:Q16" si="2">O8/2</f>
        <v>3.7735849056603772E-2</v>
      </c>
      <c r="R8">
        <f t="shared" ref="R8:R16" si="3">O8*0.75</f>
        <v>5.6603773584905662E-2</v>
      </c>
      <c r="S8">
        <f t="shared" ref="S8:S16" si="4">O8*0.25</f>
        <v>1.8867924528301886E-2</v>
      </c>
      <c r="U8" s="2">
        <v>26.297999999999998</v>
      </c>
      <c r="V8" s="3">
        <v>547298</v>
      </c>
      <c r="W8" s="2"/>
      <c r="X8" s="2"/>
      <c r="Y8" s="4">
        <f t="shared" ref="Y8:Y16" si="5">J8+Q8</f>
        <v>0.13502333303780839</v>
      </c>
      <c r="AB8" s="4">
        <f>L8+R8</f>
        <v>0.10524751557550796</v>
      </c>
      <c r="AE8" s="4">
        <f>K8+S8</f>
        <v>0.16479915050010879</v>
      </c>
      <c r="AH8" s="3">
        <v>547298</v>
      </c>
      <c r="AI8">
        <f>AH8/AH16</f>
        <v>0.12539626096448017</v>
      </c>
    </row>
    <row r="9" spans="3:37">
      <c r="Y9" s="4"/>
      <c r="AB9" s="4"/>
      <c r="AE9" s="4"/>
    </row>
    <row r="10" spans="3:37">
      <c r="C10" t="s">
        <v>2</v>
      </c>
      <c r="E10" s="1">
        <v>132000000</v>
      </c>
      <c r="F10">
        <f>E10/E16</f>
        <v>2.8193079880392994E-2</v>
      </c>
      <c r="G10" s="1">
        <v>1582</v>
      </c>
      <c r="H10">
        <f>G10/G16</f>
        <v>3.4759299540790545E-2</v>
      </c>
      <c r="J10">
        <f t="shared" si="0"/>
        <v>1.4096539940196497E-2</v>
      </c>
      <c r="K10">
        <f>F10*0.75</f>
        <v>2.1144809910294746E-2</v>
      </c>
      <c r="L10">
        <f t="shared" si="1"/>
        <v>7.0482699700982485E-3</v>
      </c>
      <c r="N10" s="1">
        <v>2000000</v>
      </c>
      <c r="O10">
        <f>N10/N16</f>
        <v>1.8867924528301886E-2</v>
      </c>
      <c r="Q10">
        <f t="shared" si="2"/>
        <v>9.433962264150943E-3</v>
      </c>
      <c r="R10">
        <f t="shared" si="3"/>
        <v>1.4150943396226415E-2</v>
      </c>
      <c r="S10">
        <f t="shared" si="4"/>
        <v>4.7169811320754715E-3</v>
      </c>
      <c r="U10" s="2">
        <v>3.55</v>
      </c>
      <c r="V10" s="3">
        <v>58195</v>
      </c>
      <c r="W10" s="2"/>
      <c r="X10" s="2"/>
      <c r="Y10" s="4">
        <f t="shared" si="5"/>
        <v>2.353050220434744E-2</v>
      </c>
      <c r="AB10" s="4">
        <f>L10+R10</f>
        <v>2.1199213366324663E-2</v>
      </c>
      <c r="AE10" s="4">
        <f>K10+S10</f>
        <v>2.5861791042370217E-2</v>
      </c>
      <c r="AH10" s="3">
        <v>58195</v>
      </c>
      <c r="AI10">
        <f>AH10/AH16</f>
        <v>1.3333568561967929E-2</v>
      </c>
    </row>
    <row r="11" spans="3:37">
      <c r="Y11" s="4"/>
      <c r="AB11" s="4"/>
      <c r="AE11" s="4"/>
    </row>
    <row r="12" spans="3:37">
      <c r="C12" t="s">
        <v>3</v>
      </c>
      <c r="E12" s="1">
        <v>622000000</v>
      </c>
      <c r="F12">
        <f>E12/E16</f>
        <v>0.1328492097394276</v>
      </c>
      <c r="G12" s="1">
        <v>5802</v>
      </c>
      <c r="H12">
        <f>G12/G16</f>
        <v>0.12748006064201436</v>
      </c>
      <c r="J12">
        <f t="shared" si="0"/>
        <v>6.6424604869713799E-2</v>
      </c>
      <c r="K12">
        <f>F12*0.75</f>
        <v>9.9636907304570699E-2</v>
      </c>
      <c r="L12">
        <f t="shared" si="1"/>
        <v>3.32123024348569E-2</v>
      </c>
      <c r="N12" s="1">
        <v>29000000</v>
      </c>
      <c r="O12">
        <f>N12/N16</f>
        <v>0.27358490566037735</v>
      </c>
      <c r="Q12">
        <f t="shared" si="2"/>
        <v>0.13679245283018868</v>
      </c>
      <c r="R12">
        <f t="shared" si="3"/>
        <v>0.205188679245283</v>
      </c>
      <c r="S12">
        <f t="shared" si="4"/>
        <v>6.8396226415094338E-2</v>
      </c>
      <c r="U12" s="2">
        <v>19.12</v>
      </c>
      <c r="V12" s="3">
        <v>865207</v>
      </c>
      <c r="W12" s="2"/>
      <c r="X12" s="2"/>
      <c r="Y12" s="4">
        <f t="shared" si="5"/>
        <v>0.20321705769990248</v>
      </c>
      <c r="AB12" s="4">
        <f>L12+R12</f>
        <v>0.2384009816801399</v>
      </c>
      <c r="AE12" s="4">
        <f>K12+S12</f>
        <v>0.16803313371966505</v>
      </c>
      <c r="AH12" s="3">
        <v>865207</v>
      </c>
      <c r="AI12">
        <f>AH12/AH16</f>
        <v>0.19823518953165367</v>
      </c>
    </row>
    <row r="13" spans="3:37">
      <c r="Y13" s="4"/>
      <c r="AB13" s="4"/>
      <c r="AE13" s="4"/>
    </row>
    <row r="14" spans="3:37">
      <c r="C14" t="s">
        <v>4</v>
      </c>
      <c r="E14" s="1">
        <v>377000000</v>
      </c>
      <c r="F14">
        <f>E14/E16</f>
        <v>8.0521144809910294E-2</v>
      </c>
      <c r="G14" s="1">
        <v>2973</v>
      </c>
      <c r="H14">
        <f>G14/G16</f>
        <v>6.5321995913255548E-2</v>
      </c>
      <c r="J14">
        <f t="shared" si="0"/>
        <v>4.0260572404955147E-2</v>
      </c>
      <c r="K14">
        <f>F14*0.75</f>
        <v>6.0390858607432721E-2</v>
      </c>
      <c r="L14">
        <f t="shared" si="1"/>
        <v>2.0130286202477574E-2</v>
      </c>
      <c r="N14" s="1">
        <v>23000000</v>
      </c>
      <c r="O14">
        <f>N14/N16</f>
        <v>0.21698113207547171</v>
      </c>
      <c r="Q14">
        <f t="shared" si="2"/>
        <v>0.10849056603773585</v>
      </c>
      <c r="R14">
        <f t="shared" si="3"/>
        <v>0.16273584905660377</v>
      </c>
      <c r="S14">
        <f t="shared" si="4"/>
        <v>5.4245283018867926E-2</v>
      </c>
      <c r="U14" s="2">
        <v>6.21</v>
      </c>
      <c r="V14" s="3">
        <v>865207</v>
      </c>
      <c r="W14" s="2"/>
      <c r="X14" s="2"/>
      <c r="Y14" s="4">
        <f t="shared" si="5"/>
        <v>0.148751138442691</v>
      </c>
      <c r="AB14" s="4">
        <f>L14+R14</f>
        <v>0.18286613525908135</v>
      </c>
      <c r="AE14" s="4">
        <f>K14+S14</f>
        <v>0.11463614162630065</v>
      </c>
      <c r="AH14" s="3">
        <v>865207</v>
      </c>
      <c r="AI14">
        <f>AH14/AH16</f>
        <v>0.19823518953165367</v>
      </c>
    </row>
    <row r="15" spans="3:37">
      <c r="Y15" s="4"/>
      <c r="AB15" s="4"/>
      <c r="AE15" s="4"/>
    </row>
    <row r="16" spans="3:37">
      <c r="C16" t="s">
        <v>5</v>
      </c>
      <c r="E16" s="1">
        <f>SUM(E6:E14)</f>
        <v>4682000000</v>
      </c>
      <c r="F16" s="1">
        <f>E16/E16</f>
        <v>1</v>
      </c>
      <c r="G16" s="1">
        <f>SUM(G6:G14)</f>
        <v>45513</v>
      </c>
      <c r="H16" s="1">
        <f>G16/G16</f>
        <v>1</v>
      </c>
      <c r="I16" s="1"/>
      <c r="J16">
        <f t="shared" si="0"/>
        <v>0.5</v>
      </c>
      <c r="K16">
        <f>F16*0.75</f>
        <v>0.75</v>
      </c>
      <c r="L16">
        <f t="shared" si="1"/>
        <v>0.25</v>
      </c>
      <c r="N16" s="1">
        <f>SUM(N6:N14)</f>
        <v>106000000</v>
      </c>
      <c r="O16">
        <f>N16/N16</f>
        <v>1</v>
      </c>
      <c r="Q16">
        <f t="shared" si="2"/>
        <v>0.5</v>
      </c>
      <c r="R16">
        <f t="shared" si="3"/>
        <v>0.75</v>
      </c>
      <c r="S16">
        <f t="shared" si="4"/>
        <v>0.25</v>
      </c>
      <c r="U16">
        <f>SUM(U6:U14)</f>
        <v>100</v>
      </c>
      <c r="V16" s="1">
        <f>SUM(V6:V14)</f>
        <v>4364548</v>
      </c>
      <c r="Y16" s="4">
        <f t="shared" si="5"/>
        <v>1</v>
      </c>
      <c r="AB16" s="4">
        <f>L16+R16</f>
        <v>1</v>
      </c>
      <c r="AE16" s="4">
        <f>K16+S16</f>
        <v>1</v>
      </c>
      <c r="AH16" s="1">
        <f>SUM(AH6:AH14)</f>
        <v>4364548</v>
      </c>
      <c r="AI16" s="1">
        <f>SUM(AI6:AI14)</f>
        <v>0.99999999999999989</v>
      </c>
    </row>
    <row r="20" spans="3:3">
      <c r="C20" t="s">
        <v>33</v>
      </c>
    </row>
    <row r="22" spans="3:3">
      <c r="C22" s="8" t="s">
        <v>34</v>
      </c>
    </row>
  </sheetData>
  <hyperlinks>
    <hyperlink ref="C22" r:id="rId1" tooltip="Original URL:_x000a_https://www.fisheries.noaa.gov/feature-story/saltwater-recreational-fisheries-regional-snapshots_x000a__x000a_Click to follow link." display="https://nam04.safelinks.protection.outlook.com/?url=https%3A%2F%2Fwww.fisheries.noaa.gov%2Ffeature-story%2Fsaltwater-recreational-fisheries-regional-snapshots&amp;data=04%7C01%7Ctfrazer%40usf.edu%7C1ce982b19125476864ef08d8a689cf81%7C741bf7dee2e546df8d6782607df9deaa%7C0%7C0%7C637442458116820489%7CUnknown%7CTWFpbGZsb3d8eyJWIjoiMC4wLjAwMDAiLCJQIjoiV2luMzIiLCJBTiI6Ik1haWwiLCJXVCI6Mn0%3D%7C3000&amp;sdata=%2FxskjRIVDW%2BhsM1jhsArGKWGCnKToL4hdgk8GjAulR8%3D&amp;reserved=0" xr:uid="{F41CD407-CB2B-844E-8290-BCD14CFB5A04}"/>
  </hyperlinks>
  <pageMargins left="0.7" right="0.7" top="0.75" bottom="0.75" header="0.3" footer="0.3"/>
  <pageSetup scale="26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58C10-C789-2C43-BF0A-341FAC3D2068}">
  <dimension ref="C1:W21"/>
  <sheetViews>
    <sheetView tabSelected="1" topLeftCell="I1" workbookViewId="0">
      <selection activeCell="V21" sqref="V21"/>
    </sheetView>
  </sheetViews>
  <sheetFormatPr defaultColWidth="11" defaultRowHeight="15.75"/>
  <cols>
    <col min="5" max="5" width="12.625" bestFit="1" customWidth="1"/>
    <col min="11" max="11" width="12.125" bestFit="1" customWidth="1"/>
    <col min="15" max="15" width="13" bestFit="1" customWidth="1"/>
    <col min="19" max="19" width="14" bestFit="1" customWidth="1"/>
  </cols>
  <sheetData>
    <row r="1" spans="3:23">
      <c r="M1" t="s">
        <v>25</v>
      </c>
      <c r="P1" t="s">
        <v>35</v>
      </c>
      <c r="S1" t="s">
        <v>36</v>
      </c>
    </row>
    <row r="2" spans="3:23">
      <c r="E2" t="s">
        <v>6</v>
      </c>
      <c r="J2" t="s">
        <v>10</v>
      </c>
      <c r="M2" t="s">
        <v>11</v>
      </c>
      <c r="P2" t="s">
        <v>38</v>
      </c>
      <c r="T2" t="s">
        <v>37</v>
      </c>
    </row>
    <row r="3" spans="3:23">
      <c r="Q3" t="s">
        <v>39</v>
      </c>
    </row>
    <row r="4" spans="3:23">
      <c r="E4" t="s">
        <v>7</v>
      </c>
      <c r="G4" t="s">
        <v>8</v>
      </c>
      <c r="V4" t="s">
        <v>40</v>
      </c>
    </row>
    <row r="5" spans="3:23">
      <c r="F5" t="s">
        <v>9</v>
      </c>
      <c r="K5" t="s">
        <v>9</v>
      </c>
      <c r="M5" t="s">
        <v>24</v>
      </c>
      <c r="N5" t="s">
        <v>9</v>
      </c>
      <c r="P5" t="s">
        <v>24</v>
      </c>
      <c r="Q5" t="s">
        <v>9</v>
      </c>
      <c r="S5" t="s">
        <v>24</v>
      </c>
      <c r="T5" t="s">
        <v>9</v>
      </c>
      <c r="V5" t="s">
        <v>24</v>
      </c>
      <c r="W5" t="s">
        <v>9</v>
      </c>
    </row>
    <row r="6" spans="3:23">
      <c r="C6" t="s">
        <v>0</v>
      </c>
      <c r="E6" s="1">
        <v>2640000000</v>
      </c>
      <c r="F6">
        <f>E6/E16</f>
        <v>0.56386159760785992</v>
      </c>
      <c r="G6" s="1">
        <v>25480</v>
      </c>
      <c r="H6">
        <f>G6/G16</f>
        <v>0.55984004570122825</v>
      </c>
      <c r="J6" s="1">
        <v>48000000</v>
      </c>
      <c r="K6">
        <f>J6/J16</f>
        <v>0.43636363636363634</v>
      </c>
      <c r="M6" s="3">
        <v>1913451</v>
      </c>
      <c r="N6" s="2">
        <v>0.44822000000000001</v>
      </c>
      <c r="O6" s="5">
        <f>M6*1.0606</f>
        <v>2029406.1306</v>
      </c>
      <c r="P6" s="3">
        <f>M6*0.77</f>
        <v>1473357.27</v>
      </c>
      <c r="Q6">
        <f>P6/P16</f>
        <v>0.44821985284144933</v>
      </c>
      <c r="S6" s="5">
        <f>P6+(M6*1.0602)</f>
        <v>3501998.0202000001</v>
      </c>
      <c r="T6">
        <f>S6/S16</f>
        <v>0.49662625901422813</v>
      </c>
      <c r="U6" s="6"/>
      <c r="V6" s="5">
        <f>P6+((0.25*M6)*1.0602)</f>
        <v>1980517.4575499999</v>
      </c>
      <c r="W6">
        <f>V6/V16</f>
        <v>0.44821985284144927</v>
      </c>
    </row>
    <row r="7" spans="3:23">
      <c r="O7" s="5"/>
      <c r="P7" s="3"/>
      <c r="S7" s="5"/>
      <c r="U7" s="1"/>
      <c r="V7" s="5"/>
    </row>
    <row r="8" spans="3:23">
      <c r="C8" t="s">
        <v>1</v>
      </c>
      <c r="E8" s="1">
        <v>911000000</v>
      </c>
      <c r="F8">
        <f>E8/E16</f>
        <v>0.19457496796240922</v>
      </c>
      <c r="G8" s="1">
        <v>9676</v>
      </c>
      <c r="H8">
        <f>G8/G16</f>
        <v>0.21259859820271132</v>
      </c>
      <c r="J8" s="1">
        <v>8000000</v>
      </c>
      <c r="K8">
        <f>J8/J16</f>
        <v>7.2727272727272724E-2</v>
      </c>
      <c r="M8" s="3">
        <v>1122662</v>
      </c>
      <c r="N8" s="2">
        <v>0.26297999999999999</v>
      </c>
      <c r="O8" s="5">
        <f>M8*0.4875</f>
        <v>547297.72499999998</v>
      </c>
      <c r="P8" s="3">
        <f t="shared" ref="P8:P16" si="0">M8*0.77</f>
        <v>864449.74</v>
      </c>
      <c r="Q8">
        <f>P8/P16</f>
        <v>0.2629800274115654</v>
      </c>
      <c r="S8" s="5">
        <f>P8+(M8*0.4875)</f>
        <v>1411747.4649999999</v>
      </c>
      <c r="T8">
        <f>S8/S16</f>
        <v>0.20020310067900302</v>
      </c>
      <c r="U8" s="1"/>
      <c r="V8" s="5">
        <f t="shared" ref="V8:V14" si="1">P8+((0.25*M8)*1.0602)</f>
        <v>1162011.3031000001</v>
      </c>
      <c r="W8">
        <f>V8/V16</f>
        <v>0.2629800274115654</v>
      </c>
    </row>
    <row r="9" spans="3:23">
      <c r="O9" s="5"/>
      <c r="P9" s="3"/>
      <c r="S9" s="5"/>
      <c r="U9" s="1"/>
      <c r="V9" s="5"/>
    </row>
    <row r="10" spans="3:23">
      <c r="C10" t="s">
        <v>2</v>
      </c>
      <c r="E10" s="1">
        <v>132000000</v>
      </c>
      <c r="F10">
        <f>E10/E16</f>
        <v>2.8193079880392994E-2</v>
      </c>
      <c r="G10" s="1">
        <v>1582</v>
      </c>
      <c r="H10">
        <f>G10/G16</f>
        <v>3.4759299540790545E-2</v>
      </c>
      <c r="J10" s="1">
        <v>2000000</v>
      </c>
      <c r="K10">
        <f>J10/J16</f>
        <v>1.8181818181818181E-2</v>
      </c>
      <c r="M10" s="3">
        <v>151550</v>
      </c>
      <c r="N10" s="2">
        <v>3.5499999999999997E-2</v>
      </c>
      <c r="O10" s="5">
        <f>M10*0.384</f>
        <v>58195.200000000004</v>
      </c>
      <c r="P10" s="3">
        <f t="shared" si="0"/>
        <v>116693.5</v>
      </c>
      <c r="Q10">
        <f>P10/P16</f>
        <v>3.5500108807657811E-2</v>
      </c>
      <c r="S10" s="5">
        <f>P10+(M10*0.384)</f>
        <v>174888.7</v>
      </c>
      <c r="T10">
        <f>S10/S16</f>
        <v>2.4801362057852154E-2</v>
      </c>
      <c r="U10" s="1"/>
      <c r="V10" s="5">
        <f t="shared" si="1"/>
        <v>156861.82750000001</v>
      </c>
      <c r="W10">
        <f>V10/V16</f>
        <v>3.5500108807657811E-2</v>
      </c>
    </row>
    <row r="11" spans="3:23">
      <c r="O11" s="5"/>
      <c r="P11" s="3"/>
      <c r="S11" s="5"/>
      <c r="U11" s="1"/>
      <c r="V11" s="5"/>
    </row>
    <row r="12" spans="3:23">
      <c r="C12" t="s">
        <v>3</v>
      </c>
      <c r="E12" s="1">
        <v>622000000</v>
      </c>
      <c r="F12">
        <f>E12/E16</f>
        <v>0.1328492097394276</v>
      </c>
      <c r="G12" s="1">
        <v>5802</v>
      </c>
      <c r="H12">
        <f>G12/G16</f>
        <v>0.12748006064201436</v>
      </c>
      <c r="J12" s="1">
        <v>29000000</v>
      </c>
      <c r="K12">
        <f>J12/J16</f>
        <v>0.26363636363636361</v>
      </c>
      <c r="M12" s="3">
        <v>816233</v>
      </c>
      <c r="N12" s="2">
        <v>0.19120000000000001</v>
      </c>
      <c r="O12" s="5">
        <f>M12*1.06</f>
        <v>865206.9800000001</v>
      </c>
      <c r="P12" s="3">
        <f t="shared" si="0"/>
        <v>628499.41</v>
      </c>
      <c r="Q12">
        <f>P12/P16</f>
        <v>0.19120000206137222</v>
      </c>
      <c r="S12" s="5">
        <f>P12+(M12*1.06)</f>
        <v>1493706.3900000001</v>
      </c>
      <c r="T12">
        <f>S12/S16</f>
        <v>0.21182588118338871</v>
      </c>
      <c r="U12" s="1"/>
      <c r="V12" s="5">
        <f t="shared" si="1"/>
        <v>844841.96665000007</v>
      </c>
      <c r="W12">
        <f>V12/V16</f>
        <v>0.19120000206137222</v>
      </c>
    </row>
    <row r="13" spans="3:23">
      <c r="O13" s="5"/>
      <c r="P13" s="3"/>
      <c r="S13" s="5"/>
      <c r="U13" s="1"/>
      <c r="V13" s="5"/>
    </row>
    <row r="14" spans="3:23">
      <c r="C14" t="s">
        <v>4</v>
      </c>
      <c r="E14" s="1">
        <v>377000000</v>
      </c>
      <c r="F14">
        <f>E14/E16</f>
        <v>8.0521144809910294E-2</v>
      </c>
      <c r="G14" s="1">
        <v>2973</v>
      </c>
      <c r="H14">
        <f>G14/G16</f>
        <v>6.5321995913255548E-2</v>
      </c>
      <c r="J14" s="1">
        <v>23000000</v>
      </c>
      <c r="K14">
        <f>J14/J16</f>
        <v>0.20909090909090908</v>
      </c>
      <c r="M14" s="3">
        <v>265105</v>
      </c>
      <c r="N14" s="2">
        <v>6.2100000000000002E-2</v>
      </c>
      <c r="O14" s="5">
        <f>M14*1</f>
        <v>265105</v>
      </c>
      <c r="P14" s="3">
        <f t="shared" si="0"/>
        <v>204130.85</v>
      </c>
      <c r="Q14">
        <f>P14/P16</f>
        <v>6.210000887795529E-2</v>
      </c>
      <c r="S14" s="5">
        <f>P14+(M14*1)</f>
        <v>469235.85</v>
      </c>
      <c r="T14">
        <f>S14/S16</f>
        <v>6.6543397065527976E-2</v>
      </c>
      <c r="U14" s="1"/>
      <c r="V14" s="5">
        <f t="shared" si="1"/>
        <v>274396.93024999998</v>
      </c>
      <c r="W14">
        <f>V14/V16</f>
        <v>6.2100008877955276E-2</v>
      </c>
    </row>
    <row r="15" spans="3:23">
      <c r="P15" s="3">
        <f t="shared" si="0"/>
        <v>0</v>
      </c>
      <c r="S15" s="5"/>
      <c r="U15" s="1"/>
      <c r="V15" s="5"/>
    </row>
    <row r="16" spans="3:23">
      <c r="C16" t="s">
        <v>5</v>
      </c>
      <c r="E16" s="1">
        <f>SUM(E6:E14)</f>
        <v>4682000000</v>
      </c>
      <c r="F16" s="1">
        <f>E16/E16</f>
        <v>1</v>
      </c>
      <c r="G16" s="1">
        <f>SUM(G6:G14)</f>
        <v>45513</v>
      </c>
      <c r="H16" s="1">
        <f>G16/G16</f>
        <v>1</v>
      </c>
      <c r="J16" s="1">
        <f>SUM(J6:J14)</f>
        <v>110000000</v>
      </c>
      <c r="K16">
        <f>SUM(K6:K14)</f>
        <v>0.99999999999999989</v>
      </c>
      <c r="M16" s="7">
        <f>SUM(M6:M14)</f>
        <v>4269001</v>
      </c>
      <c r="N16">
        <f>SUM(N6:N14)</f>
        <v>1</v>
      </c>
      <c r="P16" s="3">
        <f t="shared" si="0"/>
        <v>3287130.77</v>
      </c>
      <c r="Q16" s="1">
        <f>SUM(Q6:Q14)</f>
        <v>1</v>
      </c>
      <c r="S16" s="5">
        <f>SUM(S6:S14)</f>
        <v>7051576.4252000004</v>
      </c>
      <c r="T16">
        <f>SUM(T6:T14)</f>
        <v>1</v>
      </c>
      <c r="U16" s="9"/>
      <c r="V16" s="5">
        <f>SUM(V6:V14)</f>
        <v>4418629.4850500003</v>
      </c>
      <c r="W16">
        <f>SUM(W6:W14)</f>
        <v>1</v>
      </c>
    </row>
    <row r="18" spans="13:22">
      <c r="M18" t="s">
        <v>30</v>
      </c>
      <c r="S18" t="s">
        <v>32</v>
      </c>
      <c r="V18" t="s">
        <v>32</v>
      </c>
    </row>
    <row r="20" spans="13:22">
      <c r="M20" t="s">
        <v>31</v>
      </c>
    </row>
    <row r="21" spans="13:22">
      <c r="S21" s="1">
        <f>M16+P16</f>
        <v>7556131.7699999996</v>
      </c>
      <c r="V21" s="1"/>
    </row>
  </sheetData>
  <pageMargins left="0.7" right="0.7" top="0.75" bottom="0.75" header="0.3" footer="0.3"/>
  <ignoredErrors>
    <ignoredError sqref="S8 S12 S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Calcs for Framework</vt:lpstr>
      <vt:lpstr>Calcs for Amendment</vt:lpstr>
      <vt:lpstr>Alt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Matos</cp:lastModifiedBy>
  <cp:lastPrinted>2021-01-24T22:29:17Z</cp:lastPrinted>
  <dcterms:created xsi:type="dcterms:W3CDTF">2020-12-28T10:14:52Z</dcterms:created>
  <dcterms:modified xsi:type="dcterms:W3CDTF">2021-01-26T19:06:44Z</dcterms:modified>
</cp:coreProperties>
</file>